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ходные данные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<sst xmlns="http://schemas.openxmlformats.org/spreadsheetml/2006/main" count="199" uniqueCount="144">
  <si>
    <t>Исходные данные для расчета экономических показателей деятельности предприятия связи</t>
  </si>
  <si>
    <t>Показатели</t>
  </si>
  <si>
    <t>Базовый период</t>
  </si>
  <si>
    <t>Отчетный период</t>
  </si>
  <si>
    <t>2% от стоимости основных фондов</t>
  </si>
  <si>
    <t>37,5% от фонда заработной платы</t>
  </si>
  <si>
    <t>1. Рассчитать налог на добавленную стоимость; доходность единицы продукции; доходы.</t>
  </si>
  <si>
    <t>vбаз.=</t>
  </si>
  <si>
    <t>vотч.=</t>
  </si>
  <si>
    <t>Дч.баз.=</t>
  </si>
  <si>
    <t>Дч.отч.=</t>
  </si>
  <si>
    <t>2. Рассчитать показатели использования производственных фондов - фондоотдачу, фондоемкость, фондовооруженность труда, коэффициент и скорость оборачиваемости основных средств.</t>
  </si>
  <si>
    <t>Vбаз.=</t>
  </si>
  <si>
    <t>Vотч.=</t>
  </si>
  <si>
    <t>НДСбаз.=</t>
  </si>
  <si>
    <t>НДСотч.=</t>
  </si>
  <si>
    <t>K иДбаз.=</t>
  </si>
  <si>
    <t>K иДотч.=</t>
  </si>
  <si>
    <t>h отч.=</t>
  </si>
  <si>
    <t>h баз.=</t>
  </si>
  <si>
    <t>фондоемкость по доходам</t>
  </si>
  <si>
    <t>фондоемкость по труду</t>
  </si>
  <si>
    <t>Фондоотдача (показатель оборачиваемости основных фондов)</t>
  </si>
  <si>
    <t>руб./чел.</t>
  </si>
  <si>
    <t>руб.</t>
  </si>
  <si>
    <t>Коэффициент оборачиваемости по отдельным видам оборотных активов</t>
  </si>
  <si>
    <t>Коб. Баз.=</t>
  </si>
  <si>
    <t>Коб. отч.=</t>
  </si>
  <si>
    <t>оборотов в год</t>
  </si>
  <si>
    <t xml:space="preserve">Чем больше оборотов, тем  лучше работает предприятие. </t>
  </si>
  <si>
    <t>Cкорость оборачиваемости основных средств</t>
  </si>
  <si>
    <t>Vоб.баз.=</t>
  </si>
  <si>
    <t>Vоб.отч.=</t>
  </si>
  <si>
    <t>дней на 1 оборот</t>
  </si>
  <si>
    <t>Коэффициент скорости оборачиваемости основных средств, показывает сколько необходимо дней, для совершения одного оборота</t>
  </si>
  <si>
    <t>3. Рассчитать продуктивность труда, среднюю заработную плату и часть изменения доходов за счет изменения продуктивности труда.</t>
  </si>
  <si>
    <t>Вбаз.=</t>
  </si>
  <si>
    <t>Вотч.=</t>
  </si>
  <si>
    <t>производительность труда одного работника</t>
  </si>
  <si>
    <t>заработную плату одного работника</t>
  </si>
  <si>
    <t>Збаз.=</t>
  </si>
  <si>
    <t>Зотч.=</t>
  </si>
  <si>
    <t>определяем часть доходов в отчетном периоде, за счет изменения производительности труда</t>
  </si>
  <si>
    <t>%</t>
  </si>
  <si>
    <t>dизм.(B)=</t>
  </si>
  <si>
    <t>4. Определить общую сумму эксплуатационных затрат, структуру затрат; себестоимость единицы продукции и единицы доходов.</t>
  </si>
  <si>
    <t>Ставка НДС,%</t>
  </si>
  <si>
    <t>Эбаз.=</t>
  </si>
  <si>
    <t>Эотч.=</t>
  </si>
  <si>
    <t xml:space="preserve">определяем удельный вес каждой статье затрат по общей статье затрат </t>
  </si>
  <si>
    <t>ФЗП dбаз.=</t>
  </si>
  <si>
    <t>А dбаз.=</t>
  </si>
  <si>
    <t>Эм. dбаз=</t>
  </si>
  <si>
    <t>Фул. Dбаз.=</t>
  </si>
  <si>
    <t>Энач. Dбаз.=</t>
  </si>
  <si>
    <t>ФЗП dотч.=</t>
  </si>
  <si>
    <t>А dотч.=</t>
  </si>
  <si>
    <t>Эм. Dотч.=</t>
  </si>
  <si>
    <t>Фул. Dотч.=</t>
  </si>
  <si>
    <t>Энач. Dотч.=</t>
  </si>
  <si>
    <t>Ээл. dбаз=</t>
  </si>
  <si>
    <t>Эпр. dбаз=</t>
  </si>
  <si>
    <t>Эау. dбаз=</t>
  </si>
  <si>
    <t>Итого:</t>
  </si>
  <si>
    <t>себестоимость единицы продукции по доходам</t>
  </si>
  <si>
    <t>Сбаз.=</t>
  </si>
  <si>
    <t>Сотч.=</t>
  </si>
  <si>
    <t>Чем ниже себестоимость, тем выше прибыль предприятия</t>
  </si>
  <si>
    <t>ПУТИ СНИЖЕНИЯ СЕБЕСТОИМОСТИ УСЛУГ ПО ПРЕДПРИЯТИЮ СВЯЗИ:</t>
  </si>
  <si>
    <t xml:space="preserve">1. Рост производительности труда; (этот фактор позволяет снизить расходы по статье «Затраты на оплату труда» на 100 грн. чистого дохода.
2. Улучшение использования основных средств; (этот фактор позволит снизить расходы по статье «Амортизация основных средств» на 100 грн. чистого дохода.
3. Экономия материалов и электроэнергии. Внедрение прогресивных норм расходов материалов.
4. Уменьшение транспортных расходов, за счет повышения спроса на услуги связи.
</t>
  </si>
  <si>
    <t>ПУТИ ПОВЫШЕНИЯ ПРОИЗВОДИТЕЛЬНОСТИ ТРУДА НА ПРЕДПРИЯТИИ СВЯЗИ:</t>
  </si>
  <si>
    <t xml:space="preserve">1. Внедрение новой, более современной и эффективной техники;
2. Совершенствование технических эксплуатационных средств;
3. Рост доходов от реализации услуг связи;
4. Усиление материальной и моральной заинтересованности работников, в росте производительности труда;
5. Совершенствование структуры управления в отрасли связи;
6. Применение вычислительной техники для управления производством и планово – экономической работы;
7. Рациональное построение сети связи.
</t>
  </si>
  <si>
    <t>5. Определить прибыль от основной деятельности, балансовую прибыль и рентабельность предприятия.</t>
  </si>
  <si>
    <t>Пбаз.=</t>
  </si>
  <si>
    <t>Потч.=</t>
  </si>
  <si>
    <t>Ппр.баз.=</t>
  </si>
  <si>
    <t>Ппр.отч.=</t>
  </si>
  <si>
    <t>Прочая прибыль в розмере % от прибыли основной деятельности.</t>
  </si>
  <si>
    <t>ПРИБЫЛЬ ОТ ПРОЧЕЙ ОПЕРАЦИОННОЙ ДЕЯТЕЛЬНОСТИ</t>
  </si>
  <si>
    <t>ПРИБЫЛЬ ОТ ОСНОВНОЙ ОПЕРАЦИОННОЙ ДЕЯТЕЛЬНОСТИ</t>
  </si>
  <si>
    <t>БАЛАНСОВАЯ ПРИБЫЛЬ (ОБЩАЯ ПРИБЫЛЬ)</t>
  </si>
  <si>
    <t>Пбал.баз.=</t>
  </si>
  <si>
    <t>Пбал.отч.=</t>
  </si>
  <si>
    <t>ч баз.=</t>
  </si>
  <si>
    <t>ч отч.=</t>
  </si>
  <si>
    <t>рентабельность от основной деятельности</t>
  </si>
  <si>
    <t>ч' баз.=</t>
  </si>
  <si>
    <t>ч' отч.=</t>
  </si>
  <si>
    <t>рентабельность от производственных фондов</t>
  </si>
  <si>
    <t>Общая рентабельность (балансовая)</t>
  </si>
  <si>
    <t>Ч бал. Баз.=</t>
  </si>
  <si>
    <t>Ч бал. отч.=</t>
  </si>
  <si>
    <t>балансовая (общая) рентабельность производственных фондов</t>
  </si>
  <si>
    <t>Ч' бал.отч.=</t>
  </si>
  <si>
    <t>Ч' бал.баз.=</t>
  </si>
  <si>
    <t xml:space="preserve">ПУТИ ПОВЫШЕНИЯ ПРИБЫЛИ И РЕНТАБЕЛЬНОСТИ НА ПРЕДПРИЯТИИ СВЯЗ:
1. Рост услуг связи (исходящего платного обмена и др.);
2. Увеличение доходов от реализации услуг связи;
3. Снижение себестоимости реализации услуг;
4. Повышение производительности труда;
5. Уменьшение качества услуг связи.
</t>
  </si>
  <si>
    <t>6. Определить валовый доход, валовые затраты, налогооблажение прибыли и налог на прибыль.</t>
  </si>
  <si>
    <t>ВД баз.=</t>
  </si>
  <si>
    <t>ВД отч.=</t>
  </si>
  <si>
    <t>Валовые доходы</t>
  </si>
  <si>
    <t>Валовые затраты</t>
  </si>
  <si>
    <t>Ппзтс. Баз.=</t>
  </si>
  <si>
    <t>Ппзтс. отч.=</t>
  </si>
  <si>
    <t>Налог на землю, на транспортные средства, удержание объектов социального характера составляет _% от балансовой прибыли.</t>
  </si>
  <si>
    <t>Запасы на складе</t>
  </si>
  <si>
    <t>Зап.баз.=</t>
  </si>
  <si>
    <t>Зап.отч.=</t>
  </si>
  <si>
    <t>Запасы на складе: +__% от затрат на материалы, электроэнергию;</t>
  </si>
  <si>
    <t>ВР отч.=</t>
  </si>
  <si>
    <t>ВР баз.=</t>
  </si>
  <si>
    <t xml:space="preserve">средства, которые направлены на покрытие налога на землю,  
транспортные средства и удержание объектов социального характер
</t>
  </si>
  <si>
    <t>Налогооблагаемая прибыль</t>
  </si>
  <si>
    <t>Налог на прибыль</t>
  </si>
  <si>
    <t>П нал.баз.=</t>
  </si>
  <si>
    <t>Н нал.баз.=</t>
  </si>
  <si>
    <t>Н нал.отч.=</t>
  </si>
  <si>
    <t>7. Рассчитать прибыль, которая остается в распоряжении предприятия; фонд потребления и фонд накопления</t>
  </si>
  <si>
    <t>Пфэс баз.=</t>
  </si>
  <si>
    <t>фонд потребления</t>
  </si>
  <si>
    <t>фонд экономического стимулирования</t>
  </si>
  <si>
    <t>ФМЗ=</t>
  </si>
  <si>
    <t>ФП=</t>
  </si>
  <si>
    <t xml:space="preserve">Фонд потребления на одного работника  </t>
  </si>
  <si>
    <t>ФП 1сотр.=</t>
  </si>
  <si>
    <t xml:space="preserve">Фонд накопления </t>
  </si>
  <si>
    <t>ФН отч.=</t>
  </si>
  <si>
    <t>ФРЗ</t>
  </si>
  <si>
    <t>ФСР</t>
  </si>
  <si>
    <t>Нормативные отчисления в ФМЗ - соответственно __% от остаточной прибыли.</t>
  </si>
  <si>
    <t xml:space="preserve">Объем продукции, тыс.ед., Q </t>
  </si>
  <si>
    <t>Численность сотрудников, чел., Ш</t>
  </si>
  <si>
    <t>Фонд заработной платы, ФЗП</t>
  </si>
  <si>
    <t>Амортизация, А</t>
  </si>
  <si>
    <t>Материалы и запчпсти, Эм</t>
  </si>
  <si>
    <t>Электроэнергия, Ээл</t>
  </si>
  <si>
    <t>Прочие производственные и транспортные расходы, Эпр</t>
  </si>
  <si>
    <t>Другие административно-управленческие и эксплуатационные затраты, Эау</t>
  </si>
  <si>
    <t>Затраты на улутьшение основных фондов, Фул</t>
  </si>
  <si>
    <t>Начисление на фонд заработной платы, Энач</t>
  </si>
  <si>
    <t>Тарифные доходы, тыс.руб., Дт</t>
  </si>
  <si>
    <t>Среднегодовая стоимость основных фондов, тыс.руб., Фосн</t>
  </si>
  <si>
    <t>Оборотные средства, тыс.руб., Фоб</t>
  </si>
  <si>
    <t>ФМЗ</t>
  </si>
  <si>
    <t>Эксплуатационные расходы по статьям, тыс.руб.: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</si>
</sst>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4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16" fontId="2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4" borderId="1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1" fontId="2" fillId="4" borderId="15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5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11.wmf" /><Relationship Id="rId7" Type="http://schemas.openxmlformats.org/officeDocument/2006/relationships/image" Target="../media/image6.wmf" /><Relationship Id="rId8" Type="http://schemas.openxmlformats.org/officeDocument/2006/relationships/image" Target="../media/image3.wmf" /><Relationship Id="rId9" Type="http://schemas.openxmlformats.org/officeDocument/2006/relationships/image" Target="../media/image4.wmf" /><Relationship Id="rId10" Type="http://schemas.openxmlformats.org/officeDocument/2006/relationships/image" Target="../media/image7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33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1.vm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3" max="3" width="54.8515625" style="0" customWidth="1"/>
    <col min="4" max="4" width="18.140625" style="0" customWidth="1"/>
    <col min="5" max="5" width="18.421875" style="0" customWidth="1"/>
  </cols>
  <sheetData>
    <row r="2" spans="2:5" ht="15">
      <c r="B2" s="2" t="s">
        <v>0</v>
      </c>
      <c r="C2" s="2"/>
      <c r="D2" s="2"/>
      <c r="E2" s="2"/>
    </row>
    <row r="3" spans="2:5" ht="15.75" thickBot="1">
      <c r="B3" s="2"/>
      <c r="C3" s="2"/>
      <c r="D3" s="2"/>
      <c r="E3" s="2"/>
    </row>
    <row r="4" spans="2:5" ht="30.75" thickBot="1">
      <c r="B4" s="34" t="s">
        <v>1</v>
      </c>
      <c r="C4" s="35"/>
      <c r="D4" s="8" t="s">
        <v>2</v>
      </c>
      <c r="E4" s="8" t="s">
        <v>3</v>
      </c>
    </row>
    <row r="5" spans="2:5" ht="15.75" thickBot="1">
      <c r="B5" s="1">
        <v>1</v>
      </c>
      <c r="C5" s="3" t="s">
        <v>129</v>
      </c>
      <c r="D5" s="22">
        <v>1180</v>
      </c>
      <c r="E5" s="22">
        <v>1210</v>
      </c>
    </row>
    <row r="6" spans="2:5" ht="15.75" thickBot="1">
      <c r="B6" s="1">
        <v>2</v>
      </c>
      <c r="C6" s="3" t="s">
        <v>139</v>
      </c>
      <c r="D6" s="22">
        <v>1682</v>
      </c>
      <c r="E6" s="22">
        <v>1728</v>
      </c>
    </row>
    <row r="7" spans="2:5" ht="15.75" thickBot="1">
      <c r="B7" s="1">
        <v>3</v>
      </c>
      <c r="C7" s="3" t="s">
        <v>130</v>
      </c>
      <c r="D7" s="22">
        <v>197</v>
      </c>
      <c r="E7" s="22">
        <v>195</v>
      </c>
    </row>
    <row r="8" spans="2:5" ht="30.75" thickBot="1">
      <c r="B8" s="1">
        <v>4</v>
      </c>
      <c r="C8" s="3" t="s">
        <v>140</v>
      </c>
      <c r="D8" s="22">
        <v>4300</v>
      </c>
      <c r="E8" s="22">
        <v>4700</v>
      </c>
    </row>
    <row r="9" spans="2:5" ht="15.75" thickBot="1">
      <c r="B9" s="1">
        <v>5</v>
      </c>
      <c r="C9" s="3" t="s">
        <v>141</v>
      </c>
      <c r="D9" s="22">
        <v>120</v>
      </c>
      <c r="E9" s="22">
        <v>75</v>
      </c>
    </row>
    <row r="10" spans="2:5" ht="15.75" thickBot="1">
      <c r="B10" s="4"/>
      <c r="C10" s="5" t="s">
        <v>143</v>
      </c>
      <c r="D10" s="23"/>
      <c r="E10" s="24"/>
    </row>
    <row r="11" spans="2:5" ht="15.75" thickBot="1">
      <c r="B11" s="6">
        <v>6</v>
      </c>
      <c r="C11" s="7" t="s">
        <v>131</v>
      </c>
      <c r="D11" s="25">
        <v>225</v>
      </c>
      <c r="E11" s="25">
        <v>234</v>
      </c>
    </row>
    <row r="12" spans="2:5" ht="15.75" thickBot="1">
      <c r="B12" s="1">
        <v>7</v>
      </c>
      <c r="C12" s="3" t="s">
        <v>132</v>
      </c>
      <c r="D12" s="22">
        <v>323</v>
      </c>
      <c r="E12" s="22">
        <v>358</v>
      </c>
    </row>
    <row r="13" spans="2:5" ht="15.75" thickBot="1">
      <c r="B13" s="1">
        <v>8</v>
      </c>
      <c r="C13" s="3" t="s">
        <v>133</v>
      </c>
      <c r="D13" s="22">
        <v>49</v>
      </c>
      <c r="E13" s="22">
        <v>56</v>
      </c>
    </row>
    <row r="14" spans="2:5" ht="15.75" thickBot="1">
      <c r="B14" s="1">
        <v>9</v>
      </c>
      <c r="C14" s="3" t="s">
        <v>134</v>
      </c>
      <c r="D14" s="22">
        <v>8</v>
      </c>
      <c r="E14" s="22">
        <v>9</v>
      </c>
    </row>
    <row r="15" spans="2:5" ht="30.75" thickBot="1">
      <c r="B15" s="1">
        <v>10</v>
      </c>
      <c r="C15" s="3" t="s">
        <v>135</v>
      </c>
      <c r="D15" s="22">
        <v>124</v>
      </c>
      <c r="E15" s="22">
        <v>136</v>
      </c>
    </row>
    <row r="16" spans="2:5" ht="30.75" thickBot="1">
      <c r="B16" s="1">
        <v>11</v>
      </c>
      <c r="C16" s="3" t="s">
        <v>136</v>
      </c>
      <c r="D16" s="22">
        <v>36</v>
      </c>
      <c r="E16" s="22">
        <v>42</v>
      </c>
    </row>
    <row r="17" spans="2:5" ht="30" customHeight="1" thickBot="1">
      <c r="B17" s="1">
        <v>12</v>
      </c>
      <c r="C17" s="3" t="s">
        <v>137</v>
      </c>
      <c r="D17" s="36" t="s">
        <v>4</v>
      </c>
      <c r="E17" s="37"/>
    </row>
    <row r="18" spans="2:5" ht="30" customHeight="1" thickBot="1">
      <c r="B18" s="1">
        <v>13</v>
      </c>
      <c r="C18" s="3" t="s">
        <v>138</v>
      </c>
      <c r="D18" s="36" t="s">
        <v>5</v>
      </c>
      <c r="E18" s="37"/>
    </row>
    <row r="19" spans="2:5" ht="15">
      <c r="B19" s="2"/>
      <c r="C19" s="2"/>
      <c r="D19" s="2"/>
      <c r="E19" s="2"/>
    </row>
    <row r="20" spans="2:5" ht="15">
      <c r="B20" s="16">
        <v>1</v>
      </c>
      <c r="C20" s="17" t="s">
        <v>46</v>
      </c>
      <c r="D20" s="26">
        <v>20</v>
      </c>
      <c r="E20" s="2"/>
    </row>
    <row r="21" spans="2:5" ht="15">
      <c r="B21" s="16">
        <v>2</v>
      </c>
      <c r="C21" s="17" t="s">
        <v>112</v>
      </c>
      <c r="D21" s="26">
        <v>25</v>
      </c>
      <c r="E21" s="2"/>
    </row>
    <row r="22" spans="2:5" ht="30">
      <c r="B22" s="16">
        <v>3</v>
      </c>
      <c r="C22" s="18" t="s">
        <v>77</v>
      </c>
      <c r="D22" s="27">
        <v>10</v>
      </c>
      <c r="E22" s="2"/>
    </row>
    <row r="23" spans="2:5" ht="45">
      <c r="B23" s="16">
        <v>4</v>
      </c>
      <c r="C23" s="18" t="s">
        <v>103</v>
      </c>
      <c r="D23" s="27">
        <v>5</v>
      </c>
      <c r="E23" s="2"/>
    </row>
    <row r="24" spans="2:5" ht="18.75" customHeight="1">
      <c r="B24" s="16">
        <v>5</v>
      </c>
      <c r="C24" s="17" t="s">
        <v>107</v>
      </c>
      <c r="D24" s="27">
        <v>10</v>
      </c>
      <c r="E24" s="2"/>
    </row>
    <row r="25" spans="2:5" ht="30">
      <c r="B25" s="16">
        <v>6</v>
      </c>
      <c r="C25" s="18" t="s">
        <v>128</v>
      </c>
      <c r="D25" s="28">
        <f>D26</f>
        <v>35</v>
      </c>
      <c r="E25" s="2"/>
    </row>
    <row r="26" spans="2:5" ht="15">
      <c r="B26" s="16"/>
      <c r="C26" s="18" t="s">
        <v>142</v>
      </c>
      <c r="D26" s="27">
        <v>35</v>
      </c>
      <c r="E26" s="2"/>
    </row>
    <row r="27" spans="2:5" ht="15">
      <c r="B27" s="19"/>
      <c r="C27" s="17" t="s">
        <v>126</v>
      </c>
      <c r="D27" s="27">
        <v>38</v>
      </c>
      <c r="E27" s="2"/>
    </row>
    <row r="28" spans="2:5" ht="15">
      <c r="B28" s="17"/>
      <c r="C28" s="17" t="s">
        <v>127</v>
      </c>
      <c r="D28" s="27">
        <v>27</v>
      </c>
      <c r="E28" s="2"/>
    </row>
  </sheetData>
  <sheetProtection/>
  <mergeCells count="3">
    <mergeCell ref="B4:C4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9.28125" style="0" bestFit="1" customWidth="1"/>
    <col min="6" max="6" width="11.00390625" style="0" customWidth="1"/>
    <col min="10" max="10" width="12.421875" style="0" customWidth="1"/>
    <col min="11" max="11" width="8.8515625" style="0" customWidth="1"/>
    <col min="13" max="13" width="11.28125" style="0" customWidth="1"/>
  </cols>
  <sheetData>
    <row r="2" ht="12.75">
      <c r="A2" s="12" t="s">
        <v>6</v>
      </c>
    </row>
    <row r="8" spans="2:14" ht="12.75">
      <c r="B8" s="9" t="s">
        <v>14</v>
      </c>
      <c r="C8" s="10">
        <f>('исходные данные'!D6*'исходные данные'!D20)/120</f>
        <v>280.3333333333333</v>
      </c>
      <c r="D8" s="9" t="s">
        <v>24</v>
      </c>
      <c r="E8" s="11" t="s">
        <v>7</v>
      </c>
      <c r="F8" s="10">
        <f>'исходные данные'!D6/'исходные данные'!D5</f>
        <v>1.4254237288135594</v>
      </c>
      <c r="H8" s="11" t="s">
        <v>9</v>
      </c>
      <c r="I8" s="10">
        <f>'исходные данные'!D6-расчет!C8</f>
        <v>1401.6666666666667</v>
      </c>
      <c r="J8" s="9" t="s">
        <v>24</v>
      </c>
      <c r="L8" s="9"/>
      <c r="N8" s="9"/>
    </row>
    <row r="10" spans="2:14" ht="12.75">
      <c r="B10" s="9" t="s">
        <v>15</v>
      </c>
      <c r="C10" s="10">
        <f>('исходные данные'!E6*20)/120</f>
        <v>288</v>
      </c>
      <c r="D10" s="9" t="s">
        <v>24</v>
      </c>
      <c r="E10" s="11" t="s">
        <v>8</v>
      </c>
      <c r="F10" s="10">
        <f>'исходные данные'!E6/'исходные данные'!E5</f>
        <v>1.428099173553719</v>
      </c>
      <c r="H10" s="11" t="s">
        <v>10</v>
      </c>
      <c r="I10" s="10">
        <f>'исходные данные'!E6-C10</f>
        <v>1440</v>
      </c>
      <c r="J10" s="9" t="s">
        <v>24</v>
      </c>
      <c r="L10" s="9"/>
      <c r="N10" s="9"/>
    </row>
    <row r="12" ht="12.75">
      <c r="A12" s="12" t="s">
        <v>11</v>
      </c>
    </row>
    <row r="14" spans="1:13" ht="12.75">
      <c r="A14" s="9" t="s">
        <v>22</v>
      </c>
      <c r="H14" s="9" t="s">
        <v>20</v>
      </c>
      <c r="M14" s="9" t="s">
        <v>21</v>
      </c>
    </row>
    <row r="19" ht="13.5" thickBot="1"/>
    <row r="20" spans="2:23" ht="12.75">
      <c r="B20" s="9" t="s">
        <v>16</v>
      </c>
      <c r="C20" s="20">
        <f>'исходные данные'!D6/'исходные данные'!D8</f>
        <v>0.3911627906976744</v>
      </c>
      <c r="D20" s="9" t="s">
        <v>24</v>
      </c>
      <c r="H20" s="9" t="s">
        <v>19</v>
      </c>
      <c r="I20" s="10">
        <f>'исходные данные'!D8/'исходные данные'!D6</f>
        <v>2.5564803804994054</v>
      </c>
      <c r="J20" s="9" t="s">
        <v>24</v>
      </c>
      <c r="M20" s="11" t="s">
        <v>12</v>
      </c>
      <c r="N20" s="10">
        <f>'исходные данные'!D8/'исходные данные'!D7</f>
        <v>21.82741116751269</v>
      </c>
      <c r="O20" s="9" t="s">
        <v>23</v>
      </c>
      <c r="P20" s="29"/>
      <c r="Q20" s="30"/>
      <c r="R20" s="31"/>
      <c r="S20" s="31"/>
      <c r="T20" s="30" t="s">
        <v>70</v>
      </c>
      <c r="U20" s="31"/>
      <c r="V20" s="31"/>
      <c r="W20" s="32"/>
    </row>
    <row r="21" spans="8:23" ht="12.75">
      <c r="H21" s="9"/>
      <c r="P21" s="51" t="s">
        <v>71</v>
      </c>
      <c r="Q21" s="46"/>
      <c r="R21" s="46"/>
      <c r="S21" s="46"/>
      <c r="T21" s="46"/>
      <c r="U21" s="46"/>
      <c r="V21" s="46"/>
      <c r="W21" s="47"/>
    </row>
    <row r="22" spans="2:23" ht="12.75">
      <c r="B22" s="9" t="s">
        <v>17</v>
      </c>
      <c r="C22" s="10">
        <f>'исходные данные'!E6/'исходные данные'!E8</f>
        <v>0.3676595744680851</v>
      </c>
      <c r="D22" s="9" t="s">
        <v>24</v>
      </c>
      <c r="H22" s="9" t="s">
        <v>18</v>
      </c>
      <c r="I22" s="10">
        <f>'исходные данные'!E8/'исходные данные'!E6</f>
        <v>2.7199074074074074</v>
      </c>
      <c r="J22" s="9" t="s">
        <v>24</v>
      </c>
      <c r="M22" s="11" t="s">
        <v>13</v>
      </c>
      <c r="N22" s="10">
        <f>'исходные данные'!E8/'исходные данные'!E7</f>
        <v>24.102564102564102</v>
      </c>
      <c r="O22" s="9" t="s">
        <v>23</v>
      </c>
      <c r="P22" s="45"/>
      <c r="Q22" s="46"/>
      <c r="R22" s="46"/>
      <c r="S22" s="46"/>
      <c r="T22" s="46"/>
      <c r="U22" s="46"/>
      <c r="V22" s="46"/>
      <c r="W22" s="47"/>
    </row>
    <row r="23" spans="16:23" ht="12.75">
      <c r="P23" s="45"/>
      <c r="Q23" s="46"/>
      <c r="R23" s="46"/>
      <c r="S23" s="46"/>
      <c r="T23" s="46"/>
      <c r="U23" s="46"/>
      <c r="V23" s="46"/>
      <c r="W23" s="47"/>
    </row>
    <row r="24" spans="16:23" ht="12.75">
      <c r="P24" s="45"/>
      <c r="Q24" s="46"/>
      <c r="R24" s="46"/>
      <c r="S24" s="46"/>
      <c r="T24" s="46"/>
      <c r="U24" s="46"/>
      <c r="V24" s="46"/>
      <c r="W24" s="47"/>
    </row>
    <row r="25" spans="1:23" ht="12.75">
      <c r="A25" s="9" t="s">
        <v>25</v>
      </c>
      <c r="H25" s="9" t="s">
        <v>30</v>
      </c>
      <c r="P25" s="45"/>
      <c r="Q25" s="46"/>
      <c r="R25" s="46"/>
      <c r="S25" s="46"/>
      <c r="T25" s="46"/>
      <c r="U25" s="46"/>
      <c r="V25" s="46"/>
      <c r="W25" s="47"/>
    </row>
    <row r="26" spans="16:23" ht="12.75">
      <c r="P26" s="45"/>
      <c r="Q26" s="46"/>
      <c r="R26" s="46"/>
      <c r="S26" s="46"/>
      <c r="T26" s="46"/>
      <c r="U26" s="46"/>
      <c r="V26" s="46"/>
      <c r="W26" s="47"/>
    </row>
    <row r="27" spans="16:23" ht="12.75">
      <c r="P27" s="45"/>
      <c r="Q27" s="46"/>
      <c r="R27" s="46"/>
      <c r="S27" s="46"/>
      <c r="T27" s="46"/>
      <c r="U27" s="46"/>
      <c r="V27" s="46"/>
      <c r="W27" s="47"/>
    </row>
    <row r="28" spans="16:23" ht="12.75">
      <c r="P28" s="45"/>
      <c r="Q28" s="46"/>
      <c r="R28" s="46"/>
      <c r="S28" s="46"/>
      <c r="T28" s="46"/>
      <c r="U28" s="46"/>
      <c r="V28" s="46"/>
      <c r="W28" s="47"/>
    </row>
    <row r="29" spans="16:23" ht="12.75">
      <c r="P29" s="45"/>
      <c r="Q29" s="46"/>
      <c r="R29" s="46"/>
      <c r="S29" s="46"/>
      <c r="T29" s="46"/>
      <c r="U29" s="46"/>
      <c r="V29" s="46"/>
      <c r="W29" s="47"/>
    </row>
    <row r="30" spans="16:23" ht="13.5" thickBot="1">
      <c r="P30" s="48"/>
      <c r="Q30" s="49"/>
      <c r="R30" s="49"/>
      <c r="S30" s="49"/>
      <c r="T30" s="49"/>
      <c r="U30" s="49"/>
      <c r="V30" s="49"/>
      <c r="W30" s="50"/>
    </row>
    <row r="31" spans="2:10" ht="12.75">
      <c r="B31" s="9" t="s">
        <v>26</v>
      </c>
      <c r="C31" s="10">
        <f>'исходные данные'!D6/'исходные данные'!D9</f>
        <v>14.016666666666667</v>
      </c>
      <c r="D31" s="9" t="s">
        <v>28</v>
      </c>
      <c r="H31" s="9" t="s">
        <v>31</v>
      </c>
      <c r="I31" s="10">
        <f>360/C31</f>
        <v>25.683709869203327</v>
      </c>
      <c r="J31" s="9" t="s">
        <v>33</v>
      </c>
    </row>
    <row r="33" spans="2:10" ht="12.75">
      <c r="B33" s="9" t="s">
        <v>27</v>
      </c>
      <c r="C33">
        <f>'исходные данные'!E6/'исходные данные'!E9</f>
        <v>23.04</v>
      </c>
      <c r="D33" s="9" t="s">
        <v>28</v>
      </c>
      <c r="H33" s="9" t="s">
        <v>32</v>
      </c>
      <c r="I33">
        <f>360/C33</f>
        <v>15.625</v>
      </c>
      <c r="J33" s="9" t="s">
        <v>33</v>
      </c>
    </row>
    <row r="35" spans="1:12" ht="12.75">
      <c r="A35" s="9" t="s">
        <v>29</v>
      </c>
      <c r="H35" s="40" t="s">
        <v>34</v>
      </c>
      <c r="I35" s="41"/>
      <c r="J35" s="41"/>
      <c r="K35" s="41"/>
      <c r="L35" s="41"/>
    </row>
    <row r="36" spans="8:12" ht="12.75">
      <c r="H36" s="41"/>
      <c r="I36" s="41"/>
      <c r="J36" s="41"/>
      <c r="K36" s="41"/>
      <c r="L36" s="41"/>
    </row>
    <row r="37" spans="8:12" ht="12.75">
      <c r="H37" s="41"/>
      <c r="I37" s="41"/>
      <c r="J37" s="41"/>
      <c r="K37" s="41"/>
      <c r="L37" s="41"/>
    </row>
    <row r="39" ht="12.75">
      <c r="A39" s="12" t="s">
        <v>35</v>
      </c>
    </row>
    <row r="41" spans="1:13" ht="27" customHeight="1">
      <c r="A41" s="9" t="s">
        <v>38</v>
      </c>
      <c r="F41" s="9" t="s">
        <v>39</v>
      </c>
      <c r="J41" s="38" t="s">
        <v>42</v>
      </c>
      <c r="K41" s="39"/>
      <c r="L41" s="39"/>
      <c r="M41" s="39"/>
    </row>
    <row r="47" spans="2:8" ht="12.75">
      <c r="B47" s="11" t="s">
        <v>36</v>
      </c>
      <c r="C47" s="10">
        <f>'исходные данные'!D6/'исходные данные'!D7</f>
        <v>8.538071065989847</v>
      </c>
      <c r="D47" s="20" t="s">
        <v>24</v>
      </c>
      <c r="E47" s="10"/>
      <c r="F47" s="21" t="s">
        <v>40</v>
      </c>
      <c r="G47" s="10">
        <f>'исходные данные'!D11/'исходные данные'!D7</f>
        <v>1.1421319796954315</v>
      </c>
      <c r="H47" s="9" t="s">
        <v>24</v>
      </c>
    </row>
    <row r="48" spans="3:12" ht="12.75">
      <c r="C48" s="10"/>
      <c r="D48" s="10"/>
      <c r="E48" s="10"/>
      <c r="F48" s="10"/>
      <c r="G48" s="10"/>
      <c r="J48" s="9" t="s">
        <v>44</v>
      </c>
      <c r="K48" s="10">
        <f>(((C49-C47)*'исходные данные'!D7)/(I10-I8))*1000</f>
        <v>1662.341137123756</v>
      </c>
      <c r="L48" s="14" t="s">
        <v>43</v>
      </c>
    </row>
    <row r="49" spans="2:8" ht="12.75">
      <c r="B49" s="11" t="s">
        <v>37</v>
      </c>
      <c r="C49" s="10">
        <f>'исходные данные'!E6/'исходные данные'!E7</f>
        <v>8.861538461538462</v>
      </c>
      <c r="D49" s="20" t="s">
        <v>24</v>
      </c>
      <c r="E49" s="10"/>
      <c r="F49" s="21" t="s">
        <v>41</v>
      </c>
      <c r="G49" s="10">
        <f>'исходные данные'!E11/'исходные данные'!E7</f>
        <v>1.2</v>
      </c>
      <c r="H49" s="9" t="s">
        <v>24</v>
      </c>
    </row>
    <row r="50" spans="10:12" ht="12.75">
      <c r="J50" s="9"/>
      <c r="L50" s="11"/>
    </row>
    <row r="51" ht="12.75">
      <c r="A51" s="12" t="s">
        <v>45</v>
      </c>
    </row>
    <row r="57" spans="2:4" ht="12.75">
      <c r="B57" s="9" t="s">
        <v>47</v>
      </c>
      <c r="C57" s="10">
        <f>'исходные данные'!D11+'исходные данные'!D12+'исходные данные'!D13+'исходные данные'!D14+'исходные данные'!D15+'исходные данные'!D16+'исходные данные'!D8*0.02+'исходные данные'!D11*0.375</f>
        <v>935.375</v>
      </c>
      <c r="D57" s="9" t="s">
        <v>24</v>
      </c>
    </row>
    <row r="58" ht="12.75">
      <c r="C58" s="10"/>
    </row>
    <row r="59" spans="2:4" ht="12.75">
      <c r="B59" s="9" t="s">
        <v>48</v>
      </c>
      <c r="C59" s="10">
        <f>'исходные данные'!E11+'исходные данные'!E12+'исходные данные'!E13+'исходные данные'!E14+'исходные данные'!E15+'исходные данные'!E16+'исходные данные'!E8*0.02+'исходные данные'!E11*0.375</f>
        <v>1016.75</v>
      </c>
      <c r="D59" s="9" t="s">
        <v>24</v>
      </c>
    </row>
    <row r="61" ht="12.75">
      <c r="B61" s="9" t="s">
        <v>49</v>
      </c>
    </row>
    <row r="63" spans="2:7" ht="12.75">
      <c r="B63" s="9" t="s">
        <v>50</v>
      </c>
      <c r="C63" s="10">
        <f>('исходные данные'!D11/расчет!C57)*100</f>
        <v>24.05452358679674</v>
      </c>
      <c r="D63" s="9" t="s">
        <v>43</v>
      </c>
      <c r="F63" s="9" t="s">
        <v>55</v>
      </c>
      <c r="G63" s="10">
        <f>('исходные данные'!E11/расчет!C59)*100</f>
        <v>23.014507007622324</v>
      </c>
    </row>
    <row r="64" spans="2:7" ht="12.75">
      <c r="B64" s="9" t="s">
        <v>51</v>
      </c>
      <c r="C64" s="10">
        <f>('исходные данные'!D12/расчет!C57)*100</f>
        <v>34.53160497126821</v>
      </c>
      <c r="D64" s="9" t="s">
        <v>43</v>
      </c>
      <c r="F64" s="9" t="s">
        <v>56</v>
      </c>
      <c r="G64" s="10">
        <f>('исходные данные'!E12/расчет!C59)*100</f>
        <v>35.21022866978116</v>
      </c>
    </row>
    <row r="65" spans="2:7" ht="12.75">
      <c r="B65" s="9" t="s">
        <v>52</v>
      </c>
      <c r="C65" s="10">
        <f>('исходные данные'!D13/расчет!C57)*100</f>
        <v>5.238540692235735</v>
      </c>
      <c r="D65" s="9" t="s">
        <v>43</v>
      </c>
      <c r="F65" s="9" t="s">
        <v>57</v>
      </c>
      <c r="G65" s="10">
        <f>('исходные данные'!E13/расчет!C59)*100</f>
        <v>5.507745266781412</v>
      </c>
    </row>
    <row r="66" spans="2:7" ht="12.75">
      <c r="B66" s="9" t="s">
        <v>60</v>
      </c>
      <c r="C66" s="10">
        <f>('исходные данные'!D14/расчет!C57)*100</f>
        <v>0.855271949752773</v>
      </c>
      <c r="D66" s="9" t="s">
        <v>43</v>
      </c>
      <c r="F66" s="9" t="s">
        <v>57</v>
      </c>
      <c r="G66" s="10">
        <f>('исходные данные'!E14/расчет!C59)*100</f>
        <v>0.8851733464470126</v>
      </c>
    </row>
    <row r="67" spans="2:7" ht="13.5" thickBot="1">
      <c r="B67" s="9" t="s">
        <v>61</v>
      </c>
      <c r="C67" s="10">
        <f>('исходные данные'!D15/расчет!C57)*100</f>
        <v>13.25671522116798</v>
      </c>
      <c r="D67" s="9" t="s">
        <v>43</v>
      </c>
      <c r="F67" s="9" t="s">
        <v>57</v>
      </c>
      <c r="G67" s="10">
        <f>('исходные данные'!E15/расчет!C59)*100</f>
        <v>13.375952790754855</v>
      </c>
    </row>
    <row r="68" spans="2:22" ht="12.75">
      <c r="B68" s="9" t="s">
        <v>62</v>
      </c>
      <c r="C68" s="10">
        <f>('исходные данные'!D16/расчет!C57)*100</f>
        <v>3.848723773887478</v>
      </c>
      <c r="D68" s="9" t="s">
        <v>43</v>
      </c>
      <c r="F68" s="9" t="s">
        <v>57</v>
      </c>
      <c r="G68" s="10">
        <f>('исходные данные'!E16/расчет!C59)*100</f>
        <v>4.130808950086059</v>
      </c>
      <c r="P68" s="33" t="s">
        <v>68</v>
      </c>
      <c r="Q68" s="31"/>
      <c r="R68" s="31"/>
      <c r="S68" s="31"/>
      <c r="T68" s="31"/>
      <c r="U68" s="31"/>
      <c r="V68" s="32"/>
    </row>
    <row r="69" spans="2:22" ht="12.75">
      <c r="B69" s="9" t="s">
        <v>53</v>
      </c>
      <c r="C69" s="10">
        <f>(('исходные данные'!D8*0.02)/расчет!C57)*100</f>
        <v>9.19417345984231</v>
      </c>
      <c r="D69" s="9" t="s">
        <v>43</v>
      </c>
      <c r="F69" s="9" t="s">
        <v>58</v>
      </c>
      <c r="G69" s="10">
        <f>(('исходные данные'!E8*0.02)/расчет!C59)*100</f>
        <v>9.245143840668797</v>
      </c>
      <c r="P69" s="51" t="s">
        <v>69</v>
      </c>
      <c r="Q69" s="52"/>
      <c r="R69" s="52"/>
      <c r="S69" s="52"/>
      <c r="T69" s="52"/>
      <c r="U69" s="52"/>
      <c r="V69" s="53"/>
    </row>
    <row r="70" spans="2:22" ht="12.75">
      <c r="B70" s="9" t="s">
        <v>54</v>
      </c>
      <c r="C70" s="10">
        <f>('исходные данные'!D11*0.375)/расчет!C57</f>
        <v>0.09020446345048777</v>
      </c>
      <c r="D70" s="9" t="s">
        <v>43</v>
      </c>
      <c r="F70" s="9" t="s">
        <v>59</v>
      </c>
      <c r="G70" s="10">
        <f>('исходные данные'!E11*0.375)/расчет!C59</f>
        <v>0.08630440127858373</v>
      </c>
      <c r="P70" s="51"/>
      <c r="Q70" s="52"/>
      <c r="R70" s="52"/>
      <c r="S70" s="52"/>
      <c r="T70" s="52"/>
      <c r="U70" s="52"/>
      <c r="V70" s="53"/>
    </row>
    <row r="71" spans="16:22" ht="12.75">
      <c r="P71" s="51"/>
      <c r="Q71" s="52"/>
      <c r="R71" s="52"/>
      <c r="S71" s="52"/>
      <c r="T71" s="52"/>
      <c r="U71" s="52"/>
      <c r="V71" s="53"/>
    </row>
    <row r="72" spans="2:22" ht="12.75">
      <c r="B72" s="9" t="s">
        <v>63</v>
      </c>
      <c r="C72" s="10">
        <f>SUM(C63:C70)</f>
        <v>91.06975811840172</v>
      </c>
      <c r="D72" s="9" t="s">
        <v>43</v>
      </c>
      <c r="F72" s="9" t="s">
        <v>63</v>
      </c>
      <c r="G72" s="10">
        <f>SUM(G63:G70)</f>
        <v>91.45586427342022</v>
      </c>
      <c r="H72" s="9" t="s">
        <v>43</v>
      </c>
      <c r="P72" s="51"/>
      <c r="Q72" s="52"/>
      <c r="R72" s="52"/>
      <c r="S72" s="52"/>
      <c r="T72" s="52"/>
      <c r="U72" s="52"/>
      <c r="V72" s="53"/>
    </row>
    <row r="73" spans="16:22" ht="12.75">
      <c r="P73" s="51"/>
      <c r="Q73" s="52"/>
      <c r="R73" s="52"/>
      <c r="S73" s="52"/>
      <c r="T73" s="52"/>
      <c r="U73" s="52"/>
      <c r="V73" s="53"/>
    </row>
    <row r="74" spans="9:22" ht="12.75">
      <c r="I74" s="9" t="s">
        <v>65</v>
      </c>
      <c r="J74" s="10">
        <f>C57/'исходные данные'!D6</f>
        <v>0.5561087990487514</v>
      </c>
      <c r="M74" s="13"/>
      <c r="P74" s="51"/>
      <c r="Q74" s="52"/>
      <c r="R74" s="52"/>
      <c r="S74" s="52"/>
      <c r="T74" s="52"/>
      <c r="U74" s="52"/>
      <c r="V74" s="53"/>
    </row>
    <row r="75" spans="2:22" ht="12.75">
      <c r="B75" s="9" t="s">
        <v>64</v>
      </c>
      <c r="P75" s="51"/>
      <c r="Q75" s="52"/>
      <c r="R75" s="52"/>
      <c r="S75" s="52"/>
      <c r="T75" s="52"/>
      <c r="U75" s="52"/>
      <c r="V75" s="53"/>
    </row>
    <row r="76" spans="16:22" ht="12.75" customHeight="1">
      <c r="P76" s="51"/>
      <c r="Q76" s="52"/>
      <c r="R76" s="52"/>
      <c r="S76" s="52"/>
      <c r="T76" s="52"/>
      <c r="U76" s="52"/>
      <c r="V76" s="53"/>
    </row>
    <row r="77" spans="9:22" ht="12.75">
      <c r="I77" s="9" t="s">
        <v>66</v>
      </c>
      <c r="J77" s="10">
        <f>C59/'исходные данные'!E6</f>
        <v>0.5883969907407407</v>
      </c>
      <c r="P77" s="51"/>
      <c r="Q77" s="52"/>
      <c r="R77" s="52"/>
      <c r="S77" s="52"/>
      <c r="T77" s="52"/>
      <c r="U77" s="52"/>
      <c r="V77" s="53"/>
    </row>
    <row r="78" spans="7:22" ht="12.75">
      <c r="G78" s="9" t="s">
        <v>67</v>
      </c>
      <c r="P78" s="51"/>
      <c r="Q78" s="52"/>
      <c r="R78" s="52"/>
      <c r="S78" s="52"/>
      <c r="T78" s="52"/>
      <c r="U78" s="52"/>
      <c r="V78" s="53"/>
    </row>
    <row r="79" spans="16:22" ht="13.5" thickBot="1">
      <c r="P79" s="54"/>
      <c r="Q79" s="55"/>
      <c r="R79" s="55"/>
      <c r="S79" s="55"/>
      <c r="T79" s="55"/>
      <c r="U79" s="55"/>
      <c r="V79" s="56"/>
    </row>
    <row r="80" ht="12.75">
      <c r="A80" s="12" t="s">
        <v>72</v>
      </c>
    </row>
    <row r="81" spans="1:10" ht="12.75">
      <c r="A81" s="38" t="s">
        <v>79</v>
      </c>
      <c r="B81" s="39"/>
      <c r="C81" s="39"/>
      <c r="D81" s="39"/>
      <c r="F81" s="40" t="s">
        <v>78</v>
      </c>
      <c r="G81" s="41"/>
      <c r="H81" s="41"/>
      <c r="J81" s="14" t="s">
        <v>80</v>
      </c>
    </row>
    <row r="82" spans="1:8" ht="12.75">
      <c r="A82" s="39"/>
      <c r="B82" s="39"/>
      <c r="C82" s="39"/>
      <c r="D82" s="39"/>
      <c r="F82" s="41"/>
      <c r="G82" s="41"/>
      <c r="H82" s="41"/>
    </row>
    <row r="88" spans="2:12" ht="12.75">
      <c r="B88" s="9" t="s">
        <v>73</v>
      </c>
      <c r="C88" s="10">
        <f>I8-C57</f>
        <v>466.29166666666674</v>
      </c>
      <c r="D88" s="9" t="s">
        <v>24</v>
      </c>
      <c r="F88" s="9" t="s">
        <v>75</v>
      </c>
      <c r="G88">
        <f>('исходные данные'!D22*расчет!C88)/100</f>
        <v>46.62916666666668</v>
      </c>
      <c r="H88" s="9" t="s">
        <v>24</v>
      </c>
      <c r="J88" s="9" t="s">
        <v>81</v>
      </c>
      <c r="K88" s="10">
        <f>C88+G88</f>
        <v>512.9208333333335</v>
      </c>
      <c r="L88" s="9" t="s">
        <v>24</v>
      </c>
    </row>
    <row r="90" spans="2:12" ht="12.75">
      <c r="B90" s="9" t="s">
        <v>74</v>
      </c>
      <c r="C90">
        <f>I10-C59</f>
        <v>423.25</v>
      </c>
      <c r="D90" s="9" t="s">
        <v>24</v>
      </c>
      <c r="F90" s="9" t="s">
        <v>76</v>
      </c>
      <c r="G90">
        <f>('исходные данные'!D22*расчет!C90)/100</f>
        <v>42.325</v>
      </c>
      <c r="H90" s="9" t="s">
        <v>24</v>
      </c>
      <c r="J90" s="9" t="s">
        <v>82</v>
      </c>
      <c r="K90">
        <f>C90+G90</f>
        <v>465.575</v>
      </c>
      <c r="L90" s="9" t="s">
        <v>24</v>
      </c>
    </row>
    <row r="91" ht="13.5" thickBot="1"/>
    <row r="92" spans="16:22" ht="12.75">
      <c r="P92" s="42" t="s">
        <v>95</v>
      </c>
      <c r="Q92" s="43"/>
      <c r="R92" s="43"/>
      <c r="S92" s="43"/>
      <c r="T92" s="43"/>
      <c r="U92" s="43"/>
      <c r="V92" s="44"/>
    </row>
    <row r="93" spans="1:22" ht="12.75">
      <c r="A93" s="9"/>
      <c r="B93" s="9" t="s">
        <v>85</v>
      </c>
      <c r="G93" s="9" t="s">
        <v>88</v>
      </c>
      <c r="M93" s="9" t="s">
        <v>89</v>
      </c>
      <c r="P93" s="45"/>
      <c r="Q93" s="46"/>
      <c r="R93" s="46"/>
      <c r="S93" s="46"/>
      <c r="T93" s="46"/>
      <c r="U93" s="46"/>
      <c r="V93" s="47"/>
    </row>
    <row r="94" spans="16:22" ht="12.75">
      <c r="P94" s="45"/>
      <c r="Q94" s="46"/>
      <c r="R94" s="46"/>
      <c r="S94" s="46"/>
      <c r="T94" s="46"/>
      <c r="U94" s="46"/>
      <c r="V94" s="47"/>
    </row>
    <row r="95" spans="16:22" ht="12.75">
      <c r="P95" s="45"/>
      <c r="Q95" s="46"/>
      <c r="R95" s="46"/>
      <c r="S95" s="46"/>
      <c r="T95" s="46"/>
      <c r="U95" s="46"/>
      <c r="V95" s="47"/>
    </row>
    <row r="96" spans="16:22" ht="12.75">
      <c r="P96" s="45"/>
      <c r="Q96" s="46"/>
      <c r="R96" s="46"/>
      <c r="S96" s="46"/>
      <c r="T96" s="46"/>
      <c r="U96" s="46"/>
      <c r="V96" s="47"/>
    </row>
    <row r="97" spans="16:22" ht="12.75">
      <c r="P97" s="45"/>
      <c r="Q97" s="46"/>
      <c r="R97" s="46"/>
      <c r="S97" s="46"/>
      <c r="T97" s="46"/>
      <c r="U97" s="46"/>
      <c r="V97" s="47"/>
    </row>
    <row r="98" spans="16:22" ht="12.75">
      <c r="P98" s="45"/>
      <c r="Q98" s="46"/>
      <c r="R98" s="46"/>
      <c r="S98" s="46"/>
      <c r="T98" s="46"/>
      <c r="U98" s="46"/>
      <c r="V98" s="47"/>
    </row>
    <row r="99" spans="16:22" ht="12.75">
      <c r="P99" s="45"/>
      <c r="Q99" s="46"/>
      <c r="R99" s="46"/>
      <c r="S99" s="46"/>
      <c r="T99" s="46"/>
      <c r="U99" s="46"/>
      <c r="V99" s="47"/>
    </row>
    <row r="100" spans="2:22" ht="12.75">
      <c r="B100" s="9" t="s">
        <v>83</v>
      </c>
      <c r="C100" s="15">
        <f>(C88/C57)</f>
        <v>0.4985077286293377</v>
      </c>
      <c r="D100" s="9"/>
      <c r="G100" s="9" t="s">
        <v>86</v>
      </c>
      <c r="H100" s="15">
        <f>C88/('исходные данные'!D8+'исходные данные'!D9)</f>
        <v>0.10549585218702867</v>
      </c>
      <c r="M100" s="9" t="s">
        <v>90</v>
      </c>
      <c r="N100" s="15">
        <f>K88/C57</f>
        <v>0.5483585014922715</v>
      </c>
      <c r="P100" s="45"/>
      <c r="Q100" s="46"/>
      <c r="R100" s="46"/>
      <c r="S100" s="46"/>
      <c r="T100" s="46"/>
      <c r="U100" s="46"/>
      <c r="V100" s="47"/>
    </row>
    <row r="101" spans="3:22" ht="12.75">
      <c r="C101" s="15"/>
      <c r="P101" s="45"/>
      <c r="Q101" s="46"/>
      <c r="R101" s="46"/>
      <c r="S101" s="46"/>
      <c r="T101" s="46"/>
      <c r="U101" s="46"/>
      <c r="V101" s="47"/>
    </row>
    <row r="102" spans="2:22" ht="12.75">
      <c r="B102" s="9" t="s">
        <v>84</v>
      </c>
      <c r="C102" s="15">
        <f>(C90/C59)</f>
        <v>0.41627735431522006</v>
      </c>
      <c r="D102" s="9"/>
      <c r="G102" s="9" t="s">
        <v>87</v>
      </c>
      <c r="H102" s="15">
        <f>C90/('исходные данные'!E8+'исходные данные'!E9)</f>
        <v>0.08863874345549738</v>
      </c>
      <c r="M102" s="9" t="s">
        <v>91</v>
      </c>
      <c r="N102" s="15">
        <f>K90/C59</f>
        <v>0.45790508974674204</v>
      </c>
      <c r="P102" s="45"/>
      <c r="Q102" s="46"/>
      <c r="R102" s="46"/>
      <c r="S102" s="46"/>
      <c r="T102" s="46"/>
      <c r="U102" s="46"/>
      <c r="V102" s="47"/>
    </row>
    <row r="103" spans="16:22" ht="12.75">
      <c r="P103" s="45"/>
      <c r="Q103" s="46"/>
      <c r="R103" s="46"/>
      <c r="S103" s="46"/>
      <c r="T103" s="46"/>
      <c r="U103" s="46"/>
      <c r="V103" s="47"/>
    </row>
    <row r="104" spans="16:22" ht="12.75">
      <c r="P104" s="45"/>
      <c r="Q104" s="46"/>
      <c r="R104" s="46"/>
      <c r="S104" s="46"/>
      <c r="T104" s="46"/>
      <c r="U104" s="46"/>
      <c r="V104" s="47"/>
    </row>
    <row r="105" spans="2:22" ht="13.5" thickBot="1">
      <c r="B105" s="9" t="s">
        <v>92</v>
      </c>
      <c r="P105" s="48"/>
      <c r="Q105" s="49"/>
      <c r="R105" s="49"/>
      <c r="S105" s="49"/>
      <c r="T105" s="49"/>
      <c r="U105" s="49"/>
      <c r="V105" s="50"/>
    </row>
    <row r="111" spans="2:7" ht="12.75">
      <c r="B111" s="9" t="s">
        <v>94</v>
      </c>
      <c r="C111" s="15">
        <f>K88/('исходные данные'!D9+'исходные данные'!D8)</f>
        <v>0.11604543740573155</v>
      </c>
      <c r="F111" s="9" t="s">
        <v>93</v>
      </c>
      <c r="G111" s="15">
        <f>K90/('исходные данные'!E8+'исходные данные'!E9)</f>
        <v>0.09750261780104712</v>
      </c>
    </row>
    <row r="113" ht="12.75">
      <c r="A113" s="12" t="s">
        <v>96</v>
      </c>
    </row>
    <row r="114" spans="2:14" ht="12.75">
      <c r="B114" s="9" t="s">
        <v>99</v>
      </c>
      <c r="F114" s="9" t="s">
        <v>104</v>
      </c>
      <c r="N114" s="9" t="s">
        <v>100</v>
      </c>
    </row>
    <row r="118" spans="2:16" ht="12.75">
      <c r="B118" s="9" t="s">
        <v>97</v>
      </c>
      <c r="C118" s="10">
        <f>('исходные данные'!D6-расчет!C8)+расчет!G88</f>
        <v>1448.2958333333333</v>
      </c>
      <c r="D118" s="9" t="s">
        <v>24</v>
      </c>
      <c r="F118" s="9" t="s">
        <v>105</v>
      </c>
      <c r="G118">
        <f>'исходные данные'!D24*('исходные данные'!D13+'исходные данные'!D14)/100</f>
        <v>5.7</v>
      </c>
      <c r="H118" s="9" t="s">
        <v>24</v>
      </c>
      <c r="J118" s="9" t="s">
        <v>101</v>
      </c>
      <c r="K118" s="10">
        <f>('исходные данные'!D23*расчет!K88)/100</f>
        <v>25.646041666666676</v>
      </c>
      <c r="L118" s="20" t="s">
        <v>24</v>
      </c>
      <c r="M118" s="10"/>
      <c r="N118" s="20" t="s">
        <v>109</v>
      </c>
      <c r="O118" s="20">
        <f>(C57-'исходные данные'!D12)+K118+G118</f>
        <v>643.7210416666667</v>
      </c>
      <c r="P118" s="9" t="s">
        <v>24</v>
      </c>
    </row>
    <row r="119" spans="11:15" ht="12.75">
      <c r="K119" s="10"/>
      <c r="L119" s="10"/>
      <c r="M119" s="10"/>
      <c r="N119" s="10"/>
      <c r="O119" s="10"/>
    </row>
    <row r="120" spans="2:16" ht="12.75">
      <c r="B120" s="9" t="s">
        <v>98</v>
      </c>
      <c r="C120" s="10">
        <f>('исходные данные'!E6-расчет!C10)+расчет!G90</f>
        <v>1482.325</v>
      </c>
      <c r="D120" s="9" t="s">
        <v>24</v>
      </c>
      <c r="F120" s="9" t="s">
        <v>106</v>
      </c>
      <c r="G120">
        <f>'исходные данные'!D24*('исходные данные'!E13+'исходные данные'!E14)/100</f>
        <v>6.5</v>
      </c>
      <c r="H120" s="9" t="s">
        <v>24</v>
      </c>
      <c r="J120" s="9" t="s">
        <v>102</v>
      </c>
      <c r="K120" s="10">
        <f>('исходные данные'!D23*расчет!K90)/100</f>
        <v>23.27875</v>
      </c>
      <c r="L120" s="20" t="s">
        <v>24</v>
      </c>
      <c r="M120" s="10"/>
      <c r="N120" s="20" t="s">
        <v>108</v>
      </c>
      <c r="O120" s="10">
        <f>(C59-'исходные данные'!E12)+G120+K120</f>
        <v>688.52875</v>
      </c>
      <c r="P120" s="9" t="s">
        <v>24</v>
      </c>
    </row>
    <row r="121" spans="10:12" ht="12.75">
      <c r="J121" s="40" t="s">
        <v>110</v>
      </c>
      <c r="K121" s="41"/>
      <c r="L121" s="41"/>
    </row>
    <row r="122" spans="10:12" ht="12.75">
      <c r="J122" s="41"/>
      <c r="K122" s="41"/>
      <c r="L122" s="41"/>
    </row>
    <row r="123" spans="10:12" ht="12.75">
      <c r="J123" s="41"/>
      <c r="K123" s="41"/>
      <c r="L123" s="41"/>
    </row>
    <row r="125" spans="2:6" ht="12.75">
      <c r="B125" s="9" t="s">
        <v>111</v>
      </c>
      <c r="F125" s="9" t="s">
        <v>112</v>
      </c>
    </row>
    <row r="130" spans="2:8" ht="12.75">
      <c r="B130" s="9" t="s">
        <v>113</v>
      </c>
      <c r="C130" s="10">
        <f>C118-O118-'исходные данные'!D12</f>
        <v>481.57479166666667</v>
      </c>
      <c r="D130" s="9" t="s">
        <v>24</v>
      </c>
      <c r="F130" t="s">
        <v>114</v>
      </c>
      <c r="G130" s="10">
        <f>('исходные данные'!D21*расчет!C130)/100</f>
        <v>120.39369791666667</v>
      </c>
      <c r="H130" s="9" t="s">
        <v>24</v>
      </c>
    </row>
    <row r="131" ht="12.75">
      <c r="G131" s="10"/>
    </row>
    <row r="132" spans="2:8" ht="12.75">
      <c r="B132" s="9" t="s">
        <v>113</v>
      </c>
      <c r="C132" s="10">
        <f>C120-O120-'исходные данные'!E12</f>
        <v>435.7962500000001</v>
      </c>
      <c r="D132" s="9" t="s">
        <v>24</v>
      </c>
      <c r="F132" t="s">
        <v>115</v>
      </c>
      <c r="G132" s="10">
        <f>('исходные данные'!D21*расчет!C132)/100</f>
        <v>108.94906250000003</v>
      </c>
      <c r="H132" s="9" t="s">
        <v>24</v>
      </c>
    </row>
    <row r="134" ht="12.75">
      <c r="A134" s="12" t="s">
        <v>116</v>
      </c>
    </row>
    <row r="135" ht="12.75">
      <c r="B135" s="9" t="s">
        <v>119</v>
      </c>
    </row>
    <row r="136" ht="12.75">
      <c r="H136" s="9"/>
    </row>
    <row r="138" spans="2:7" ht="12.75">
      <c r="B138" s="9" t="s">
        <v>117</v>
      </c>
      <c r="C138" s="10">
        <f>K88-G130-K118</f>
        <v>366.8810937500001</v>
      </c>
      <c r="D138" s="20" t="s">
        <v>24</v>
      </c>
      <c r="E138" s="10"/>
      <c r="F138" s="10"/>
      <c r="G138" s="10"/>
    </row>
    <row r="139" spans="3:7" ht="12.75">
      <c r="C139" s="10"/>
      <c r="D139" s="10"/>
      <c r="E139" s="10"/>
      <c r="F139" s="10"/>
      <c r="G139" s="10"/>
    </row>
    <row r="140" spans="2:7" ht="12.75">
      <c r="B140" s="9" t="s">
        <v>118</v>
      </c>
      <c r="C140" s="10"/>
      <c r="D140" s="10"/>
      <c r="E140" s="10"/>
      <c r="F140" s="10"/>
      <c r="G140" s="10"/>
    </row>
    <row r="141" spans="3:7" ht="12.75">
      <c r="C141" s="10"/>
      <c r="D141" s="10"/>
      <c r="E141" s="10"/>
      <c r="F141" s="10"/>
      <c r="G141" s="10"/>
    </row>
    <row r="142" spans="3:8" ht="12.75">
      <c r="C142" s="10"/>
      <c r="D142" s="10"/>
      <c r="E142" s="10"/>
      <c r="F142" s="10"/>
      <c r="G142" s="10"/>
      <c r="H142" s="9"/>
    </row>
    <row r="143" spans="2:8" ht="12.75">
      <c r="B143" s="11" t="s">
        <v>121</v>
      </c>
      <c r="C143" s="20">
        <f>G143+'исходные данные'!E11</f>
        <v>362.4083828125</v>
      </c>
      <c r="D143" s="20" t="s">
        <v>24</v>
      </c>
      <c r="E143" s="10"/>
      <c r="F143" s="21" t="s">
        <v>120</v>
      </c>
      <c r="G143" s="10">
        <f>('исходные данные'!D25*расчет!C138)/100</f>
        <v>128.40838281250004</v>
      </c>
      <c r="H143" s="9" t="s">
        <v>24</v>
      </c>
    </row>
    <row r="145" spans="2:7" ht="12.75">
      <c r="B145" s="9" t="s">
        <v>122</v>
      </c>
      <c r="G145" s="9" t="s">
        <v>124</v>
      </c>
    </row>
    <row r="151" spans="2:10" ht="12.75">
      <c r="B151" s="9" t="s">
        <v>123</v>
      </c>
      <c r="C151" s="10">
        <f>C143/'исходные данные'!E7</f>
        <v>1.8585045272435898</v>
      </c>
      <c r="D151" s="20" t="s">
        <v>24</v>
      </c>
      <c r="E151" s="10"/>
      <c r="F151" s="21" t="s">
        <v>125</v>
      </c>
      <c r="G151" s="10">
        <f>(('исходные данные'!D27*расчет!C138)/100)+(('исходные данные'!D28*расчет!C138))/100+'исходные данные'!E12</f>
        <v>596.4727109375001</v>
      </c>
      <c r="H151" s="20" t="s">
        <v>24</v>
      </c>
      <c r="I151" s="10"/>
      <c r="J151" s="10"/>
    </row>
    <row r="152" spans="3:10" ht="12.75">
      <c r="C152" s="10"/>
      <c r="D152" s="10"/>
      <c r="E152" s="10"/>
      <c r="F152" s="10"/>
      <c r="G152" s="10"/>
      <c r="H152" s="10"/>
      <c r="I152" s="10"/>
      <c r="J152" s="10"/>
    </row>
    <row r="153" spans="3:10" ht="12.75">
      <c r="C153" s="10"/>
      <c r="D153" s="10"/>
      <c r="E153" s="10"/>
      <c r="F153" s="10"/>
      <c r="G153" s="10"/>
      <c r="H153" s="10"/>
      <c r="I153" s="10"/>
      <c r="J153" s="10"/>
    </row>
  </sheetData>
  <sheetProtection/>
  <mergeCells count="8">
    <mergeCell ref="H35:L37"/>
    <mergeCell ref="J41:M41"/>
    <mergeCell ref="P69:V79"/>
    <mergeCell ref="P21:W30"/>
    <mergeCell ref="A81:D82"/>
    <mergeCell ref="F81:H82"/>
    <mergeCell ref="P92:V105"/>
    <mergeCell ref="J121:L12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38"/>
  <legacyDrawing r:id="rId37"/>
  <oleObjects>
    <oleObject progId="Equation.3" shapeId="767922" r:id="rId1"/>
    <oleObject progId="Equation.3" shapeId="779580" r:id="rId2"/>
    <oleObject progId="Equation.3" shapeId="786969" r:id="rId3"/>
    <oleObject progId="Equation.3" shapeId="823335" r:id="rId4"/>
    <oleObject progId="Equation.3" shapeId="835315" r:id="rId5"/>
    <oleObject progId="Equation.3" shapeId="843048" r:id="rId6"/>
    <oleObject progId="Equation.3" shapeId="856890" r:id="rId7"/>
    <oleObject progId="Equation.3" shapeId="867132" r:id="rId8"/>
    <oleObject progId="Equation.3" shapeId="878729" r:id="rId9"/>
    <oleObject progId="Equation.3" shapeId="885443" r:id="rId10"/>
    <oleObject progId="Equation.3" shapeId="894651" r:id="rId11"/>
    <oleObject progId="Equation.3" shapeId="921549" r:id="rId12"/>
    <oleObject progId="Equation.3" shapeId="923237" r:id="rId13"/>
    <oleObject progId="Equation.3" shapeId="953687" r:id="rId14"/>
    <oleObject progId="Equation.3" shapeId="1010365" r:id="rId15"/>
    <oleObject progId="Equation.3" shapeId="1027685" r:id="rId16"/>
    <oleObject progId="Equation.3" shapeId="1033353" r:id="rId17"/>
    <oleObject progId="Equation.3" shapeId="1049353" r:id="rId18"/>
    <oleObject progId="Equation.3" shapeId="1064901" r:id="rId19"/>
    <oleObject progId="Equation.3" shapeId="1077448" r:id="rId20"/>
    <oleObject progId="Equation.3" shapeId="1085916" r:id="rId21"/>
    <oleObject progId="Equation.3" shapeId="1097602" r:id="rId22"/>
    <oleObject progId="Equation.3" shapeId="1106337" r:id="rId23"/>
    <oleObject progId="Equation.3" shapeId="1125989" r:id="rId24"/>
    <oleObject progId="Equation.3" shapeId="1136368" r:id="rId25"/>
    <oleObject progId="Equation.3" shapeId="1137280" r:id="rId26"/>
    <oleObject progId="Equation.3" shapeId="1148273" r:id="rId27"/>
    <oleObject progId="Equation.3" shapeId="1174188" r:id="rId28"/>
    <oleObject progId="Equation.3" shapeId="1175213" r:id="rId29"/>
    <oleObject progId="Equation.3" shapeId="1192513" r:id="rId30"/>
    <oleObject progId="Equation.3" shapeId="1215248" r:id="rId31"/>
    <oleObject progId="Equation.3" shapeId="1217671" r:id="rId32"/>
    <oleObject progId="Equation.3" shapeId="1229063" r:id="rId33"/>
    <oleObject progId="Equation.3" shapeId="1233497" r:id="rId34"/>
    <oleObject progId="Equation.3" shapeId="1234803" r:id="rId35"/>
    <oleObject progId="Equation.3" shapeId="1236339" r:id="rId3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semerinov</cp:lastModifiedBy>
  <cp:lastPrinted>2008-09-04T07:29:09Z</cp:lastPrinted>
  <dcterms:created xsi:type="dcterms:W3CDTF">1996-10-08T23:32:33Z</dcterms:created>
  <dcterms:modified xsi:type="dcterms:W3CDTF">2008-11-01T08:36:38Z</dcterms:modified>
  <cp:category/>
  <cp:version/>
  <cp:contentType/>
  <cp:contentStatus/>
</cp:coreProperties>
</file>